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836" windowWidth="9048" windowHeight="4200" tabRatio="516"/>
  </bookViews>
  <sheets>
    <sheet name="actual" sheetId="1" r:id="rId1"/>
    <sheet name="nueva" sheetId="10" r:id="rId2"/>
  </sheets>
  <definedNames>
    <definedName name="_xlnm.Print_Titles" localSheetId="0">actual!$1:$1</definedName>
  </definedNames>
  <calcPr calcId="125725"/>
</workbook>
</file>

<file path=xl/calcChain.xml><?xml version="1.0" encoding="utf-8"?>
<calcChain xmlns="http://schemas.openxmlformats.org/spreadsheetml/2006/main">
  <c r="J4" i="10"/>
  <c r="C14" i="1"/>
  <c r="C15"/>
  <c r="J4"/>
  <c r="B22"/>
  <c r="B20"/>
  <c r="C13"/>
  <c r="D15" i="10"/>
  <c r="H22" s="1"/>
  <c r="D14"/>
  <c r="H21" s="1"/>
  <c r="I22"/>
  <c r="G22"/>
  <c r="F22"/>
  <c r="C22"/>
  <c r="I21"/>
  <c r="G21"/>
  <c r="F21"/>
  <c r="D21"/>
  <c r="E21" s="1"/>
  <c r="C21"/>
  <c r="I20"/>
  <c r="G20"/>
  <c r="F20"/>
  <c r="C20"/>
  <c r="E15"/>
  <c r="E14"/>
  <c r="B13"/>
  <c r="B20" s="1"/>
  <c r="D15" i="1"/>
  <c r="H22" s="1"/>
  <c r="D14"/>
  <c r="B15"/>
  <c r="B14"/>
  <c r="E14" s="1"/>
  <c r="B13"/>
  <c r="E13" s="1"/>
  <c r="I21"/>
  <c r="I22"/>
  <c r="I20"/>
  <c r="H21"/>
  <c r="G21"/>
  <c r="G22"/>
  <c r="G20"/>
  <c r="F21"/>
  <c r="F22"/>
  <c r="F20"/>
  <c r="C21"/>
  <c r="C22"/>
  <c r="C20"/>
  <c r="E15"/>
  <c r="B21" l="1"/>
  <c r="B23" s="1"/>
  <c r="D22" i="10"/>
  <c r="E22" s="1"/>
  <c r="C13"/>
  <c r="D20" s="1"/>
  <c r="D22" i="1"/>
  <c r="I23" i="10"/>
  <c r="I23" i="1"/>
  <c r="G23" i="10"/>
  <c r="F23"/>
  <c r="H23" i="1"/>
  <c r="G23"/>
  <c r="C23" i="10"/>
  <c r="B22"/>
  <c r="E20"/>
  <c r="H23"/>
  <c r="B16"/>
  <c r="B21"/>
  <c r="K21" s="1"/>
  <c r="L21" s="1"/>
  <c r="C16"/>
  <c r="E13"/>
  <c r="E16" s="1"/>
  <c r="C23" i="1"/>
  <c r="B16"/>
  <c r="F23"/>
  <c r="E16"/>
  <c r="D21"/>
  <c r="E21" s="1"/>
  <c r="K22" i="10" l="1"/>
  <c r="L22" s="1"/>
  <c r="D23"/>
  <c r="E23"/>
  <c r="E22" i="1"/>
  <c r="K22" s="1"/>
  <c r="L22" s="1"/>
  <c r="K21"/>
  <c r="C16"/>
  <c r="D20"/>
  <c r="K20" i="10"/>
  <c r="B23"/>
  <c r="L21" i="1" l="1"/>
  <c r="E20"/>
  <c r="E23" s="1"/>
  <c r="D23"/>
  <c r="L20" i="10"/>
  <c r="K23"/>
  <c r="K20" i="1" l="1"/>
  <c r="L20" s="1"/>
  <c r="K23" l="1"/>
</calcChain>
</file>

<file path=xl/sharedStrings.xml><?xml version="1.0" encoding="utf-8"?>
<sst xmlns="http://schemas.openxmlformats.org/spreadsheetml/2006/main" count="182" uniqueCount="74">
  <si>
    <t>TOTAL</t>
  </si>
  <si>
    <t>SITUACION ACTUAL</t>
  </si>
  <si>
    <t>regulador</t>
  </si>
  <si>
    <t>barna</t>
  </si>
  <si>
    <t>madrid</t>
  </si>
  <si>
    <t>personal</t>
  </si>
  <si>
    <t xml:space="preserve"> </t>
  </si>
  <si>
    <t>reparto</t>
  </si>
  <si>
    <t>Observaciones</t>
  </si>
  <si>
    <t>central</t>
  </si>
  <si>
    <t>m2 construido</t>
  </si>
  <si>
    <t>v. esidual</t>
  </si>
  <si>
    <t>hueco estantería</t>
  </si>
  <si>
    <t>costo operativo %</t>
  </si>
  <si>
    <t>i. rotación central</t>
  </si>
  <si>
    <t>i. rotación, sucursal</t>
  </si>
  <si>
    <t>Datos del problema</t>
  </si>
  <si>
    <t>costo kg producto</t>
  </si>
  <si>
    <t>ton / trayler</t>
  </si>
  <si>
    <t>costo trayler / Cataluña</t>
  </si>
  <si>
    <t>costo trayler / Madrid</t>
  </si>
  <si>
    <t>costo kg repartido</t>
  </si>
  <si>
    <t>días / año</t>
  </si>
  <si>
    <t>kg / palet</t>
  </si>
  <si>
    <t>interés anual</t>
  </si>
  <si>
    <t>Pesonal (central)</t>
  </si>
  <si>
    <t>Pesonal (Madrid)</t>
  </si>
  <si>
    <t>Pesonal (Barna)</t>
  </si>
  <si>
    <t>Costo anual 1 persona</t>
  </si>
  <si>
    <t>Ventas año ton (central)</t>
  </si>
  <si>
    <t>Ventas año ton (Madrid)</t>
  </si>
  <si>
    <t>Ventas año ton (Barna)</t>
  </si>
  <si>
    <t>costo m2 construido</t>
  </si>
  <si>
    <t>datos obtenidos por calculo</t>
  </si>
  <si>
    <t>stock (ton)</t>
  </si>
  <si>
    <t>amortización anual %</t>
  </si>
  <si>
    <t xml:space="preserve">amortización anual % </t>
  </si>
  <si>
    <t>nº traylers</t>
  </si>
  <si>
    <t>carretillas central</t>
  </si>
  <si>
    <t>carretillas (madrid)</t>
  </si>
  <si>
    <t>carretillas (barna)</t>
  </si>
  <si>
    <t>costo carretilla</t>
  </si>
  <si>
    <t>estanterías (huecos)</t>
  </si>
  <si>
    <t xml:space="preserve">relacion m2 construido / kg ventas </t>
  </si>
  <si>
    <t>costo financiero stock</t>
  </si>
  <si>
    <t>costo suelo y edificio</t>
  </si>
  <si>
    <t>carretillas amorti-zacion</t>
  </si>
  <si>
    <t>carretillas funciona-miento</t>
  </si>
  <si>
    <t>amortiza-cion anual edificio</t>
  </si>
  <si>
    <t>Costo logístico (ton)</t>
  </si>
  <si>
    <t>Almacén central</t>
  </si>
  <si>
    <t>al calcular la superficie construida se toman en cuenta no sólo sus propias ventas sino también las salidas a delegación</t>
  </si>
  <si>
    <t>Costos, cálculo anual</t>
  </si>
  <si>
    <t>Delegación</t>
  </si>
  <si>
    <t xml:space="preserve">Costo logístico total año  </t>
  </si>
  <si>
    <t>Trans-porte LD</t>
  </si>
  <si>
    <t>% ocupación central</t>
  </si>
  <si>
    <t>% ocupación delegación</t>
  </si>
  <si>
    <t>Transporte LD</t>
  </si>
  <si>
    <t>El costo logístico  ton / regulador alude a las ventas directas de dicho almacén.</t>
  </si>
  <si>
    <t>v. residual</t>
  </si>
  <si>
    <t>al calcular el stock en el almacén central se tienen en cuenta tanto las ventas directas como las salidas a delegación</t>
  </si>
  <si>
    <t>el costo trnsporte LD se les imputa a ellas y no a central</t>
  </si>
  <si>
    <t>SITUACION NUEVA</t>
  </si>
  <si>
    <t>Se le ha imputado una serie de costos que en un análisis más en</t>
  </si>
  <si>
    <t>detalle habría que prorratear entre las delegaciones.</t>
  </si>
  <si>
    <t xml:space="preserve">relacion m2 construido / ton ventas </t>
  </si>
  <si>
    <t>Costos</t>
  </si>
  <si>
    <t>y supone un 30% del total, permanecerá invariable ya que en estos momentos su nivel de ocupación no es alto</t>
  </si>
  <si>
    <t>El caso de Barcelona es similar.</t>
  </si>
  <si>
    <t>el costo general ha descendido ligeramente. Pero si, como se espera, las ventas aumentan, el costo LD - que es importante-</t>
  </si>
  <si>
    <t>Madrid, 300 días X 25 ton / día = 7.500 ton… frente a las 4.000 de venta actuales.</t>
  </si>
  <si>
    <t>a las delegaciones, para cross docking, se les a signan 100 m2.</t>
  </si>
  <si>
    <t>El costo tarnsporte LD se le imputa a la delegación</t>
  </si>
</sst>
</file>

<file path=xl/styles.xml><?xml version="1.0" encoding="utf-8"?>
<styleSheet xmlns="http://schemas.openxmlformats.org/spreadsheetml/2006/main">
  <numFmts count="4">
    <numFmt numFmtId="164" formatCode="#,##0.0000"/>
    <numFmt numFmtId="165" formatCode="#,##0.00000"/>
    <numFmt numFmtId="166" formatCode="#,##0.000"/>
    <numFmt numFmtId="167" formatCode="#,##0.0"/>
  </numFmts>
  <fonts count="4">
    <font>
      <sz val="10"/>
      <name val="Arial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DFF6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3" fontId="1" fillId="0" borderId="0" xfId="0" applyNumberFormat="1" applyFont="1"/>
    <xf numFmtId="3" fontId="2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166" fontId="1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3" fontId="1" fillId="0" borderId="0" xfId="0" applyNumberFormat="1" applyFont="1" applyAlignment="1"/>
    <xf numFmtId="2" fontId="1" fillId="0" borderId="0" xfId="0" applyNumberFormat="1" applyFont="1" applyAlignment="1">
      <alignment horizontal="center"/>
    </xf>
    <xf numFmtId="0" fontId="3" fillId="2" borderId="4" xfId="0" applyFont="1" applyFill="1" applyBorder="1" applyAlignment="1">
      <alignment horizontal="center" wrapText="1"/>
    </xf>
    <xf numFmtId="3" fontId="3" fillId="2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9"/>
  <sheetViews>
    <sheetView tabSelected="1" workbookViewId="0">
      <pane ySplit="1" topLeftCell="A17" activePane="bottomLeft" state="frozen"/>
      <selection pane="bottomLeft" activeCell="K23" sqref="K23"/>
    </sheetView>
  </sheetViews>
  <sheetFormatPr baseColWidth="10" defaultColWidth="11.44140625" defaultRowHeight="15.6"/>
  <cols>
    <col min="1" max="1" width="15.33203125" style="1" customWidth="1"/>
    <col min="2" max="2" width="10.6640625" style="1" customWidth="1"/>
    <col min="3" max="3" width="14" style="1" customWidth="1"/>
    <col min="4" max="4" width="11" style="1" customWidth="1"/>
    <col min="5" max="5" width="13" style="1" customWidth="1"/>
    <col min="6" max="7" width="11.44140625" style="1"/>
    <col min="8" max="8" width="9" style="1" customWidth="1"/>
    <col min="9" max="9" width="13.6640625" style="1" bestFit="1" customWidth="1"/>
    <col min="10" max="10" width="10.33203125" style="1" customWidth="1"/>
    <col min="11" max="11" width="14" style="1" customWidth="1"/>
    <col min="12" max="12" width="9.88671875" style="1" customWidth="1"/>
    <col min="13" max="13" width="13.6640625" style="1" customWidth="1"/>
    <col min="14" max="14" width="7.33203125" style="1" customWidth="1"/>
    <col min="15" max="16384" width="11.44140625" style="1"/>
  </cols>
  <sheetData>
    <row r="1" spans="1:16">
      <c r="A1" s="22" t="s">
        <v>1</v>
      </c>
      <c r="B1" s="23"/>
      <c r="C1" s="24"/>
    </row>
    <row r="3" spans="1:16">
      <c r="A3" s="22" t="s">
        <v>16</v>
      </c>
      <c r="B3" s="23"/>
      <c r="C3" s="24" t="s">
        <v>6</v>
      </c>
    </row>
    <row r="4" spans="1:16" ht="46.5" customHeight="1">
      <c r="A4" s="14" t="s">
        <v>17</v>
      </c>
      <c r="B4" s="10">
        <v>1</v>
      </c>
      <c r="C4" s="4" t="s">
        <v>25</v>
      </c>
      <c r="D4" s="10">
        <v>3</v>
      </c>
      <c r="E4" s="4" t="s">
        <v>29</v>
      </c>
      <c r="F4" s="11">
        <v>3500</v>
      </c>
      <c r="G4" s="4" t="s">
        <v>38</v>
      </c>
      <c r="H4" s="13">
        <v>2</v>
      </c>
      <c r="I4" s="4" t="s">
        <v>66</v>
      </c>
      <c r="J4" s="15">
        <f>(100/750)</f>
        <v>0.13333333333333333</v>
      </c>
      <c r="K4" s="4" t="s">
        <v>41</v>
      </c>
      <c r="L4" s="11">
        <v>25000</v>
      </c>
      <c r="M4" s="12" t="s">
        <v>12</v>
      </c>
      <c r="N4" s="10">
        <v>40</v>
      </c>
      <c r="O4" s="4" t="s">
        <v>20</v>
      </c>
      <c r="P4" s="10">
        <v>500</v>
      </c>
    </row>
    <row r="5" spans="1:16" ht="45.75" customHeight="1">
      <c r="A5" s="12" t="s">
        <v>23</v>
      </c>
      <c r="B5" s="10">
        <v>500</v>
      </c>
      <c r="C5" s="4" t="s">
        <v>26</v>
      </c>
      <c r="D5" s="10">
        <v>2</v>
      </c>
      <c r="E5" s="4" t="s">
        <v>30</v>
      </c>
      <c r="F5" s="11">
        <v>4000</v>
      </c>
      <c r="G5" s="4" t="s">
        <v>39</v>
      </c>
      <c r="H5" s="13">
        <v>1</v>
      </c>
      <c r="I5" s="4" t="s">
        <v>32</v>
      </c>
      <c r="J5" s="11">
        <v>500</v>
      </c>
      <c r="K5" s="5" t="s">
        <v>60</v>
      </c>
      <c r="L5" s="11">
        <v>2000</v>
      </c>
      <c r="M5" s="5" t="s">
        <v>60</v>
      </c>
      <c r="N5" s="11">
        <v>0</v>
      </c>
      <c r="O5" s="4" t="s">
        <v>19</v>
      </c>
      <c r="P5" s="10">
        <v>600</v>
      </c>
    </row>
    <row r="6" spans="1:16" ht="33" customHeight="1">
      <c r="A6" s="14" t="s">
        <v>14</v>
      </c>
      <c r="B6" s="10">
        <v>12</v>
      </c>
      <c r="C6" s="4" t="s">
        <v>27</v>
      </c>
      <c r="D6" s="10">
        <v>2</v>
      </c>
      <c r="E6" s="4" t="s">
        <v>31</v>
      </c>
      <c r="F6" s="11">
        <v>5000</v>
      </c>
      <c r="G6" s="4" t="s">
        <v>40</v>
      </c>
      <c r="H6" s="13">
        <v>1</v>
      </c>
      <c r="I6" s="4" t="s">
        <v>36</v>
      </c>
      <c r="J6" s="16">
        <v>2.5</v>
      </c>
      <c r="K6" s="4" t="s">
        <v>35</v>
      </c>
      <c r="L6" s="10">
        <v>20</v>
      </c>
      <c r="M6" s="4" t="s">
        <v>35</v>
      </c>
      <c r="N6" s="10">
        <v>3.3</v>
      </c>
      <c r="O6" s="4" t="s">
        <v>21</v>
      </c>
      <c r="P6" s="10">
        <v>0.03</v>
      </c>
    </row>
    <row r="7" spans="1:16" ht="31.2">
      <c r="A7" s="12" t="s">
        <v>15</v>
      </c>
      <c r="B7" s="10">
        <v>12</v>
      </c>
      <c r="C7" s="4" t="s">
        <v>28</v>
      </c>
      <c r="D7" s="11">
        <v>24000</v>
      </c>
      <c r="E7" s="11"/>
      <c r="F7" s="11"/>
      <c r="G7" s="11"/>
      <c r="H7" s="11"/>
      <c r="I7" s="4" t="s">
        <v>56</v>
      </c>
      <c r="J7" s="18">
        <v>0.85</v>
      </c>
      <c r="K7" s="12" t="s">
        <v>13</v>
      </c>
      <c r="L7" s="10">
        <v>15</v>
      </c>
      <c r="O7" s="4" t="s">
        <v>18</v>
      </c>
      <c r="P7" s="10">
        <v>25</v>
      </c>
    </row>
    <row r="8" spans="1:16" ht="31.2">
      <c r="A8" s="5" t="s">
        <v>24</v>
      </c>
      <c r="B8" s="10">
        <v>7.0000000000000007E-2</v>
      </c>
      <c r="I8" s="4" t="s">
        <v>57</v>
      </c>
      <c r="J8" s="18">
        <v>0.82</v>
      </c>
    </row>
    <row r="9" spans="1:16">
      <c r="A9" s="5" t="s">
        <v>22</v>
      </c>
      <c r="B9" s="10">
        <v>300</v>
      </c>
    </row>
    <row r="11" spans="1:16">
      <c r="A11" s="22" t="s">
        <v>33</v>
      </c>
      <c r="B11" s="23"/>
      <c r="C11" s="24"/>
    </row>
    <row r="12" spans="1:16" ht="37.5" customHeight="1">
      <c r="B12" s="2" t="s">
        <v>34</v>
      </c>
      <c r="C12" s="2" t="s">
        <v>10</v>
      </c>
      <c r="D12" s="2" t="s">
        <v>37</v>
      </c>
      <c r="E12" s="2" t="s">
        <v>42</v>
      </c>
      <c r="G12" s="2"/>
      <c r="H12" s="2"/>
      <c r="J12" s="4"/>
      <c r="N12" s="3"/>
      <c r="O12" s="3"/>
    </row>
    <row r="13" spans="1:16">
      <c r="A13" s="5" t="s">
        <v>9</v>
      </c>
      <c r="B13" s="6">
        <f>ROUND((F4+F5+F6)/$B$6,0)</f>
        <v>1042</v>
      </c>
      <c r="C13" s="6">
        <f>(F4+F5+F6)*J4/J7</f>
        <v>1960.7843137254904</v>
      </c>
      <c r="D13" s="6"/>
      <c r="E13" s="6">
        <f>B13*1000/$B$5</f>
        <v>2084</v>
      </c>
      <c r="G13" s="6"/>
      <c r="H13" s="6"/>
      <c r="J13" s="6"/>
    </row>
    <row r="14" spans="1:16">
      <c r="A14" s="5" t="s">
        <v>4</v>
      </c>
      <c r="B14" s="6">
        <f>ROUND(F5/$B$7,0)</f>
        <v>333</v>
      </c>
      <c r="C14" s="6">
        <f>F5*$J$4/$J$8</f>
        <v>650.40650406504074</v>
      </c>
      <c r="D14" s="6">
        <f>F5/$P$7</f>
        <v>160</v>
      </c>
      <c r="E14" s="6">
        <f t="shared" ref="E14:E15" si="0">B14*1000/$B$5</f>
        <v>666</v>
      </c>
      <c r="F14" s="6"/>
      <c r="G14" s="6"/>
      <c r="H14" s="6"/>
      <c r="J14" s="6"/>
    </row>
    <row r="15" spans="1:16">
      <c r="A15" s="5" t="s">
        <v>3</v>
      </c>
      <c r="B15" s="6">
        <f>ROUND(F6/$B$7,0)</f>
        <v>417</v>
      </c>
      <c r="C15" s="6">
        <f>F6*$J$4/$J$8</f>
        <v>813.00813008130081</v>
      </c>
      <c r="D15" s="6">
        <f>F6/$P$7</f>
        <v>200</v>
      </c>
      <c r="E15" s="6">
        <f t="shared" si="0"/>
        <v>834</v>
      </c>
      <c r="F15" s="6"/>
      <c r="G15" s="6"/>
      <c r="H15" s="6"/>
      <c r="J15" s="6"/>
    </row>
    <row r="16" spans="1:16">
      <c r="A16" s="5" t="s">
        <v>0</v>
      </c>
      <c r="B16" s="6">
        <f>SUM(B13:B15)</f>
        <v>1792</v>
      </c>
      <c r="C16" s="6">
        <f>SUM(C13:C15)</f>
        <v>3424.1989478718319</v>
      </c>
      <c r="D16" s="7"/>
      <c r="E16" s="6">
        <f>SUM(E13:E15)</f>
        <v>3584</v>
      </c>
      <c r="F16" s="7"/>
      <c r="G16" s="7"/>
      <c r="H16" s="7"/>
      <c r="J16" s="7"/>
    </row>
    <row r="18" spans="1:15">
      <c r="A18" s="22" t="s">
        <v>52</v>
      </c>
      <c r="B18" s="23"/>
      <c r="C18" s="24"/>
    </row>
    <row r="19" spans="1:15" ht="57" customHeight="1">
      <c r="B19" s="2" t="s">
        <v>44</v>
      </c>
      <c r="C19" s="2" t="s">
        <v>5</v>
      </c>
      <c r="D19" s="2" t="s">
        <v>45</v>
      </c>
      <c r="E19" s="2" t="s">
        <v>48</v>
      </c>
      <c r="F19" s="4" t="s">
        <v>46</v>
      </c>
      <c r="G19" s="4" t="s">
        <v>47</v>
      </c>
      <c r="H19" s="4" t="s">
        <v>58</v>
      </c>
      <c r="I19" s="2" t="s">
        <v>7</v>
      </c>
      <c r="J19" s="2" t="s">
        <v>6</v>
      </c>
      <c r="K19" s="19" t="s">
        <v>54</v>
      </c>
      <c r="L19" s="19" t="s">
        <v>49</v>
      </c>
      <c r="M19" s="2" t="s">
        <v>6</v>
      </c>
      <c r="N19" s="2" t="s">
        <v>6</v>
      </c>
      <c r="O19" s="2" t="s">
        <v>6</v>
      </c>
    </row>
    <row r="20" spans="1:15">
      <c r="A20" s="5" t="s">
        <v>2</v>
      </c>
      <c r="B20" s="6">
        <f>B13*B4*1000*$B$8</f>
        <v>72940</v>
      </c>
      <c r="C20" s="6">
        <f>D4*$D$7</f>
        <v>72000</v>
      </c>
      <c r="D20" s="6">
        <f>(C13*$J$5)</f>
        <v>980392.15686274518</v>
      </c>
      <c r="E20" s="6">
        <f>D20*($J$6/100)</f>
        <v>24509.803921568629</v>
      </c>
      <c r="F20" s="6">
        <f>(H4*($L$4-$L$5)*($L$6/100))</f>
        <v>9200</v>
      </c>
      <c r="G20" s="6">
        <f>H4*$L$4*($L$7/100)</f>
        <v>7500</v>
      </c>
      <c r="H20" s="6" t="s">
        <v>6</v>
      </c>
      <c r="I20" s="6">
        <f>F4*1000*$P$6</f>
        <v>105000</v>
      </c>
      <c r="J20" s="2" t="s">
        <v>6</v>
      </c>
      <c r="K20" s="20">
        <f>SUM(B20:I20)-D20</f>
        <v>291149.80392156856</v>
      </c>
      <c r="L20" s="20">
        <f>K20/F4</f>
        <v>83.185658263305299</v>
      </c>
      <c r="M20" s="2" t="s">
        <v>6</v>
      </c>
      <c r="N20" s="2" t="s">
        <v>6</v>
      </c>
      <c r="O20" s="2" t="s">
        <v>6</v>
      </c>
    </row>
    <row r="21" spans="1:15">
      <c r="A21" s="5" t="s">
        <v>4</v>
      </c>
      <c r="B21" s="6">
        <f>B14*B4*1000*$B$8</f>
        <v>23310.000000000004</v>
      </c>
      <c r="C21" s="6">
        <f t="shared" ref="C21:C22" si="1">D5*$D$7</f>
        <v>48000</v>
      </c>
      <c r="D21" s="6">
        <f t="shared" ref="D21:D22" si="2">(C14*$J$5)</f>
        <v>325203.25203252037</v>
      </c>
      <c r="E21" s="6">
        <f t="shared" ref="E21:E22" si="3">D21*($J$6/100)</f>
        <v>8130.0813008130099</v>
      </c>
      <c r="F21" s="6">
        <f t="shared" ref="F21:F22" si="4">(H5*($L$4-$L$5)*($L$6/100))</f>
        <v>4600</v>
      </c>
      <c r="G21" s="6">
        <f t="shared" ref="G21:G22" si="5">H5*$L$4*($L$7/100)</f>
        <v>3750</v>
      </c>
      <c r="H21" s="6">
        <f>P4*D14</f>
        <v>80000</v>
      </c>
      <c r="I21" s="6">
        <f t="shared" ref="I21:I22" si="6">F5*1000*$P$6</f>
        <v>120000</v>
      </c>
      <c r="J21" s="2" t="s">
        <v>6</v>
      </c>
      <c r="K21" s="20">
        <f t="shared" ref="K21:K22" si="7">SUM(B21:I21)-D21</f>
        <v>287790.08130081301</v>
      </c>
      <c r="L21" s="20">
        <f t="shared" ref="L21:L22" si="8">K21/F5</f>
        <v>71.947520325203257</v>
      </c>
      <c r="M21" s="2" t="s">
        <v>6</v>
      </c>
      <c r="N21" s="2" t="s">
        <v>6</v>
      </c>
      <c r="O21" s="2" t="s">
        <v>6</v>
      </c>
    </row>
    <row r="22" spans="1:15">
      <c r="A22" s="5" t="s">
        <v>3</v>
      </c>
      <c r="B22" s="6">
        <f>B15*B4*1000*$B$8</f>
        <v>29190.000000000004</v>
      </c>
      <c r="C22" s="6">
        <f t="shared" si="1"/>
        <v>48000</v>
      </c>
      <c r="D22" s="6">
        <f t="shared" si="2"/>
        <v>406504.06504065043</v>
      </c>
      <c r="E22" s="6">
        <f t="shared" si="3"/>
        <v>10162.601626016261</v>
      </c>
      <c r="F22" s="6">
        <f t="shared" si="4"/>
        <v>4600</v>
      </c>
      <c r="G22" s="6">
        <f t="shared" si="5"/>
        <v>3750</v>
      </c>
      <c r="H22" s="6">
        <f>P5*D15</f>
        <v>120000</v>
      </c>
      <c r="I22" s="6">
        <f t="shared" si="6"/>
        <v>150000</v>
      </c>
      <c r="J22" s="2" t="s">
        <v>6</v>
      </c>
      <c r="K22" s="20">
        <f t="shared" si="7"/>
        <v>365702.60162601632</v>
      </c>
      <c r="L22" s="20">
        <f t="shared" si="8"/>
        <v>73.140520325203269</v>
      </c>
      <c r="M22" s="2" t="s">
        <v>6</v>
      </c>
      <c r="N22" s="2" t="s">
        <v>6</v>
      </c>
      <c r="O22" s="2" t="s">
        <v>6</v>
      </c>
    </row>
    <row r="23" spans="1:15">
      <c r="A23" s="5" t="s">
        <v>0</v>
      </c>
      <c r="B23" s="7">
        <f t="shared" ref="B23:C23" si="9">SUM(B20:B22)</f>
        <v>125440</v>
      </c>
      <c r="C23" s="7">
        <f t="shared" si="9"/>
        <v>168000</v>
      </c>
      <c r="D23" s="7">
        <f t="shared" ref="D23:K23" si="10">SUM(D20:D22)</f>
        <v>1712099.4739359161</v>
      </c>
      <c r="E23" s="7">
        <f t="shared" si="10"/>
        <v>42802.486848397901</v>
      </c>
      <c r="F23" s="7">
        <f t="shared" si="10"/>
        <v>18400</v>
      </c>
      <c r="G23" s="7">
        <f t="shared" si="10"/>
        <v>15000</v>
      </c>
      <c r="H23" s="7">
        <f t="shared" si="10"/>
        <v>200000</v>
      </c>
      <c r="I23" s="7">
        <f t="shared" si="10"/>
        <v>375000</v>
      </c>
      <c r="J23" s="2" t="s">
        <v>6</v>
      </c>
      <c r="K23" s="20">
        <f t="shared" si="10"/>
        <v>944642.48684839788</v>
      </c>
      <c r="L23" s="20" t="s">
        <v>6</v>
      </c>
      <c r="M23" s="2" t="s">
        <v>6</v>
      </c>
      <c r="N23" s="2" t="s">
        <v>6</v>
      </c>
      <c r="O23" s="2" t="s">
        <v>6</v>
      </c>
    </row>
    <row r="25" spans="1:15">
      <c r="A25" s="22" t="s">
        <v>8</v>
      </c>
      <c r="B25" s="23"/>
      <c r="C25" s="24"/>
    </row>
    <row r="26" spans="1:15">
      <c r="A26" s="1" t="s">
        <v>59</v>
      </c>
      <c r="G26" s="1" t="s">
        <v>64</v>
      </c>
    </row>
    <row r="27" spans="1:15">
      <c r="B27" s="1" t="s">
        <v>65</v>
      </c>
    </row>
    <row r="28" spans="1:15">
      <c r="A28" s="1" t="s">
        <v>73</v>
      </c>
    </row>
    <row r="29" spans="1:15">
      <c r="A29" s="1" t="s">
        <v>6</v>
      </c>
    </row>
  </sheetData>
  <mergeCells count="5">
    <mergeCell ref="A1:C1"/>
    <mergeCell ref="A3:C3"/>
    <mergeCell ref="A11:C11"/>
    <mergeCell ref="A18:C18"/>
    <mergeCell ref="A25:C25"/>
  </mergeCells>
  <phoneticPr fontId="0" type="noConversion"/>
  <printOptions horizontalCentered="1" gridLines="1" gridLinesSet="0"/>
  <pageMargins left="0.78740157480314965" right="0.78740157480314965" top="0.55118110236220474" bottom="0.55118110236220474" header="0.23622047244094491" footer="0.23622047244094491"/>
  <pageSetup paperSize="9" fitToHeight="2" orientation="portrait" horizontalDpi="4294967292" r:id="rId1"/>
  <headerFooter alignWithMargins="0">
    <oddHeader>&amp;LCurso: Almacenes&amp;CLibro: Caso1&amp;RHoja: datos iniciales</oddHeader>
    <oddFooter>&amp;L &amp;C &amp;RPágina.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36"/>
  <sheetViews>
    <sheetView workbookViewId="0">
      <pane ySplit="1" topLeftCell="A17" activePane="bottomLeft" state="frozen"/>
      <selection pane="bottomLeft" activeCell="K20" sqref="K20"/>
    </sheetView>
  </sheetViews>
  <sheetFormatPr baseColWidth="10" defaultColWidth="11.44140625" defaultRowHeight="15.6"/>
  <cols>
    <col min="1" max="1" width="15.33203125" style="1" customWidth="1"/>
    <col min="2" max="2" width="10.6640625" style="1" customWidth="1"/>
    <col min="3" max="3" width="14" style="1" customWidth="1"/>
    <col min="4" max="4" width="11" style="1" customWidth="1"/>
    <col min="5" max="5" width="13" style="1" customWidth="1"/>
    <col min="6" max="7" width="11.44140625" style="1"/>
    <col min="8" max="8" width="9" style="1" customWidth="1"/>
    <col min="9" max="9" width="13.6640625" style="1" bestFit="1" customWidth="1"/>
    <col min="10" max="10" width="10.33203125" style="1" customWidth="1"/>
    <col min="11" max="11" width="14" style="1" customWidth="1"/>
    <col min="12" max="12" width="9.88671875" style="1" customWidth="1"/>
    <col min="13" max="13" width="13.6640625" style="1" customWidth="1"/>
    <col min="14" max="14" width="7.33203125" style="1" customWidth="1"/>
    <col min="15" max="16384" width="11.44140625" style="1"/>
  </cols>
  <sheetData>
    <row r="1" spans="1:16">
      <c r="A1" s="22" t="s">
        <v>63</v>
      </c>
      <c r="B1" s="23"/>
      <c r="C1" s="24"/>
    </row>
    <row r="3" spans="1:16">
      <c r="A3" s="22" t="s">
        <v>16</v>
      </c>
      <c r="B3" s="23"/>
      <c r="C3" s="24" t="s">
        <v>6</v>
      </c>
    </row>
    <row r="4" spans="1:16" ht="46.5" customHeight="1">
      <c r="A4" s="14" t="s">
        <v>17</v>
      </c>
      <c r="B4" s="10">
        <v>1</v>
      </c>
      <c r="C4" s="4" t="s">
        <v>25</v>
      </c>
      <c r="D4" s="10">
        <v>4</v>
      </c>
      <c r="E4" s="4" t="s">
        <v>29</v>
      </c>
      <c r="F4" s="11">
        <v>3500</v>
      </c>
      <c r="G4" s="4" t="s">
        <v>38</v>
      </c>
      <c r="H4" s="13">
        <v>2</v>
      </c>
      <c r="I4" s="4" t="s">
        <v>43</v>
      </c>
      <c r="J4" s="15">
        <f>100/750</f>
        <v>0.13333333333333333</v>
      </c>
      <c r="K4" s="4" t="s">
        <v>41</v>
      </c>
      <c r="L4" s="11">
        <v>25000</v>
      </c>
      <c r="M4" s="12" t="s">
        <v>12</v>
      </c>
      <c r="N4" s="10">
        <v>40</v>
      </c>
      <c r="O4" s="4" t="s">
        <v>20</v>
      </c>
      <c r="P4" s="10">
        <v>500</v>
      </c>
    </row>
    <row r="5" spans="1:16" ht="45.75" customHeight="1">
      <c r="A5" s="12" t="s">
        <v>23</v>
      </c>
      <c r="B5" s="10">
        <v>500</v>
      </c>
      <c r="C5" s="4" t="s">
        <v>26</v>
      </c>
      <c r="D5" s="10">
        <v>1</v>
      </c>
      <c r="E5" s="4" t="s">
        <v>30</v>
      </c>
      <c r="F5" s="11">
        <v>4000</v>
      </c>
      <c r="G5" s="4" t="s">
        <v>39</v>
      </c>
      <c r="H5" s="13">
        <v>1</v>
      </c>
      <c r="I5" s="4" t="s">
        <v>32</v>
      </c>
      <c r="J5" s="11">
        <v>500</v>
      </c>
      <c r="K5" s="5" t="s">
        <v>60</v>
      </c>
      <c r="L5" s="11">
        <v>2000</v>
      </c>
      <c r="M5" s="5" t="s">
        <v>11</v>
      </c>
      <c r="N5" s="11">
        <v>0</v>
      </c>
      <c r="O5" s="4" t="s">
        <v>19</v>
      </c>
      <c r="P5" s="10">
        <v>600</v>
      </c>
    </row>
    <row r="6" spans="1:16" ht="33" customHeight="1">
      <c r="A6" s="14" t="s">
        <v>14</v>
      </c>
      <c r="B6" s="10">
        <v>24</v>
      </c>
      <c r="C6" s="4" t="s">
        <v>27</v>
      </c>
      <c r="D6" s="10">
        <v>1</v>
      </c>
      <c r="E6" s="4" t="s">
        <v>31</v>
      </c>
      <c r="F6" s="11">
        <v>5000</v>
      </c>
      <c r="G6" s="4" t="s">
        <v>40</v>
      </c>
      <c r="H6" s="13">
        <v>1</v>
      </c>
      <c r="I6" s="4" t="s">
        <v>36</v>
      </c>
      <c r="J6" s="16">
        <v>2.5</v>
      </c>
      <c r="K6" s="4" t="s">
        <v>35</v>
      </c>
      <c r="L6" s="10">
        <v>15</v>
      </c>
      <c r="M6" s="4" t="s">
        <v>35</v>
      </c>
      <c r="N6" s="10">
        <v>3</v>
      </c>
      <c r="O6" s="4" t="s">
        <v>21</v>
      </c>
      <c r="P6" s="10">
        <v>0.03</v>
      </c>
    </row>
    <row r="7" spans="1:16" ht="31.2">
      <c r="A7" s="12" t="s">
        <v>15</v>
      </c>
      <c r="B7" s="10">
        <v>0</v>
      </c>
      <c r="C7" s="4" t="s">
        <v>28</v>
      </c>
      <c r="D7" s="11">
        <v>24000</v>
      </c>
      <c r="E7" s="11"/>
      <c r="F7" s="11"/>
      <c r="G7" s="11"/>
      <c r="H7" s="11"/>
      <c r="I7" s="4" t="s">
        <v>56</v>
      </c>
      <c r="J7" s="18">
        <v>0.85</v>
      </c>
      <c r="K7" s="12" t="s">
        <v>13</v>
      </c>
      <c r="L7" s="10">
        <v>10</v>
      </c>
      <c r="O7" s="4" t="s">
        <v>18</v>
      </c>
      <c r="P7" s="10">
        <v>25</v>
      </c>
    </row>
    <row r="8" spans="1:16" ht="31.2">
      <c r="A8" s="5" t="s">
        <v>24</v>
      </c>
      <c r="B8" s="10">
        <v>7.0000000000000007E-2</v>
      </c>
      <c r="I8" s="4" t="s">
        <v>57</v>
      </c>
      <c r="J8" s="18">
        <v>0.82</v>
      </c>
    </row>
    <row r="9" spans="1:16">
      <c r="A9" s="5" t="s">
        <v>22</v>
      </c>
      <c r="B9" s="10">
        <v>300</v>
      </c>
    </row>
    <row r="11" spans="1:16">
      <c r="A11" s="22" t="s">
        <v>33</v>
      </c>
      <c r="B11" s="23"/>
      <c r="C11" s="24"/>
    </row>
    <row r="12" spans="1:16" ht="37.5" customHeight="1">
      <c r="B12" s="2" t="s">
        <v>34</v>
      </c>
      <c r="C12" s="2" t="s">
        <v>10</v>
      </c>
      <c r="D12" s="2" t="s">
        <v>37</v>
      </c>
      <c r="E12" s="2" t="s">
        <v>42</v>
      </c>
      <c r="G12" s="2"/>
      <c r="H12" s="2"/>
      <c r="J12" s="4"/>
      <c r="N12" s="3"/>
      <c r="O12" s="3"/>
    </row>
    <row r="13" spans="1:16">
      <c r="A13" s="5" t="s">
        <v>9</v>
      </c>
      <c r="B13" s="6">
        <f>ROUND((F4+F5+F6)/$B$6,0)</f>
        <v>521</v>
      </c>
      <c r="C13" s="6">
        <f>(F4+F5+F6)*J4/J7</f>
        <v>1960.7843137254904</v>
      </c>
      <c r="D13" s="6"/>
      <c r="E13" s="6">
        <f>B13*1000/$B$5</f>
        <v>1042</v>
      </c>
      <c r="G13" s="6"/>
      <c r="H13" s="6"/>
      <c r="J13" s="6"/>
    </row>
    <row r="14" spans="1:16">
      <c r="A14" s="5" t="s">
        <v>4</v>
      </c>
      <c r="B14" s="6">
        <v>0</v>
      </c>
      <c r="C14" s="6">
        <v>200</v>
      </c>
      <c r="D14" s="6">
        <f>IF(F5/$P$7/$B$9&lt;1,$B$9,$B$9*(F5/$P$7/$B$9))</f>
        <v>300</v>
      </c>
      <c r="E14" s="6">
        <f t="shared" ref="E14:E15" si="0">B14*1000/$B$5</f>
        <v>0</v>
      </c>
      <c r="F14" s="6"/>
      <c r="G14" s="6"/>
      <c r="H14" s="6"/>
      <c r="J14" s="6"/>
    </row>
    <row r="15" spans="1:16">
      <c r="A15" s="5" t="s">
        <v>3</v>
      </c>
      <c r="B15" s="6">
        <v>0</v>
      </c>
      <c r="C15" s="6">
        <v>200</v>
      </c>
      <c r="D15" s="6">
        <f>IF(F6/$P$7/$B$9&lt;1,$B$9,$B$9*(F6/$P$7/$B$9))</f>
        <v>300</v>
      </c>
      <c r="E15" s="6">
        <f t="shared" si="0"/>
        <v>0</v>
      </c>
      <c r="F15" s="6"/>
      <c r="G15" s="6"/>
      <c r="H15" s="6"/>
      <c r="J15" s="6"/>
    </row>
    <row r="16" spans="1:16">
      <c r="A16" s="5" t="s">
        <v>0</v>
      </c>
      <c r="B16" s="6">
        <f>SUM(B13:B15)</f>
        <v>521</v>
      </c>
      <c r="C16" s="6">
        <f>SUM(C13:C15)</f>
        <v>2360.7843137254904</v>
      </c>
      <c r="D16" s="7"/>
      <c r="E16" s="6">
        <f>SUM(E13:E15)</f>
        <v>1042</v>
      </c>
      <c r="F16" s="7"/>
      <c r="G16" s="7"/>
      <c r="H16" s="7"/>
      <c r="J16" s="7"/>
    </row>
    <row r="18" spans="1:15">
      <c r="A18" s="22" t="s">
        <v>52</v>
      </c>
      <c r="B18" s="23"/>
      <c r="C18" s="24"/>
    </row>
    <row r="19" spans="1:15" ht="46.8">
      <c r="B19" s="2" t="s">
        <v>44</v>
      </c>
      <c r="C19" s="2" t="s">
        <v>5</v>
      </c>
      <c r="D19" s="2" t="s">
        <v>45</v>
      </c>
      <c r="E19" s="2" t="s">
        <v>48</v>
      </c>
      <c r="F19" s="4" t="s">
        <v>46</v>
      </c>
      <c r="G19" s="4" t="s">
        <v>47</v>
      </c>
      <c r="H19" s="4" t="s">
        <v>55</v>
      </c>
      <c r="I19" s="2" t="s">
        <v>7</v>
      </c>
      <c r="J19" s="2" t="s">
        <v>6</v>
      </c>
      <c r="K19" s="19" t="s">
        <v>54</v>
      </c>
      <c r="L19" s="19" t="s">
        <v>49</v>
      </c>
      <c r="M19" s="2" t="s">
        <v>6</v>
      </c>
      <c r="N19" s="2" t="s">
        <v>6</v>
      </c>
      <c r="O19" s="2" t="s">
        <v>6</v>
      </c>
    </row>
    <row r="20" spans="1:15">
      <c r="A20" s="5" t="s">
        <v>2</v>
      </c>
      <c r="B20" s="6">
        <f>B13*1000*$B$8</f>
        <v>36470</v>
      </c>
      <c r="C20" s="6">
        <f>D4*$D$7</f>
        <v>96000</v>
      </c>
      <c r="D20" s="6">
        <f>(C13*$J$5)</f>
        <v>980392.15686274518</v>
      </c>
      <c r="E20" s="6">
        <f>D20*($J$6/100)</f>
        <v>24509.803921568629</v>
      </c>
      <c r="F20" s="6">
        <f>(H4*($L$4-$L$5)*($L$6/100))</f>
        <v>6900</v>
      </c>
      <c r="G20" s="6">
        <f>H4*$L$4*($L$7/100)</f>
        <v>5000</v>
      </c>
      <c r="H20" s="6" t="s">
        <v>6</v>
      </c>
      <c r="I20" s="6">
        <f>F4*1000*$P$6</f>
        <v>105000</v>
      </c>
      <c r="J20" s="2" t="s">
        <v>6</v>
      </c>
      <c r="K20" s="20">
        <f>SUM(B20:I20)-D20</f>
        <v>273879.80392156856</v>
      </c>
      <c r="L20" s="21">
        <f>K20/F4</f>
        <v>78.251372549019592</v>
      </c>
      <c r="M20" s="2" t="s">
        <v>6</v>
      </c>
      <c r="N20" s="2" t="s">
        <v>6</v>
      </c>
      <c r="O20" s="2" t="s">
        <v>6</v>
      </c>
    </row>
    <row r="21" spans="1:15">
      <c r="A21" s="5" t="s">
        <v>4</v>
      </c>
      <c r="B21" s="6">
        <f t="shared" ref="B21:B22" si="1">B14*1000*$B$8</f>
        <v>0</v>
      </c>
      <c r="C21" s="6">
        <f t="shared" ref="C21:C22" si="2">D5*$D$7</f>
        <v>24000</v>
      </c>
      <c r="D21" s="6">
        <f t="shared" ref="D21:D22" si="3">(C14*$J$5)</f>
        <v>100000</v>
      </c>
      <c r="E21" s="6">
        <f t="shared" ref="E21:E22" si="4">D21*($J$6/100)</f>
        <v>2500</v>
      </c>
      <c r="F21" s="6">
        <f t="shared" ref="F21:F22" si="5">(H5*($L$4-$L$5)*($L$6/100))</f>
        <v>3450</v>
      </c>
      <c r="G21" s="6">
        <f t="shared" ref="G21:G22" si="6">H5*$L$4*($L$7/100)</f>
        <v>2500</v>
      </c>
      <c r="H21" s="6">
        <f>P4*D14</f>
        <v>150000</v>
      </c>
      <c r="I21" s="6">
        <f t="shared" ref="I21:I22" si="7">F5*1000*$P$6</f>
        <v>120000</v>
      </c>
      <c r="J21" s="2" t="s">
        <v>6</v>
      </c>
      <c r="K21" s="20">
        <f t="shared" ref="K21:K22" si="8">SUM(B21:I21)-D21</f>
        <v>302450</v>
      </c>
      <c r="L21" s="21">
        <f t="shared" ref="L21:L22" si="9">K21/F5</f>
        <v>75.612499999999997</v>
      </c>
      <c r="M21" s="2" t="s">
        <v>6</v>
      </c>
      <c r="N21" s="2" t="s">
        <v>6</v>
      </c>
      <c r="O21" s="2" t="s">
        <v>6</v>
      </c>
    </row>
    <row r="22" spans="1:15">
      <c r="A22" s="5" t="s">
        <v>3</v>
      </c>
      <c r="B22" s="6">
        <f t="shared" si="1"/>
        <v>0</v>
      </c>
      <c r="C22" s="6">
        <f t="shared" si="2"/>
        <v>24000</v>
      </c>
      <c r="D22" s="6">
        <f t="shared" si="3"/>
        <v>100000</v>
      </c>
      <c r="E22" s="6">
        <f t="shared" si="4"/>
        <v>2500</v>
      </c>
      <c r="F22" s="6">
        <f t="shared" si="5"/>
        <v>3450</v>
      </c>
      <c r="G22" s="6">
        <f t="shared" si="6"/>
        <v>2500</v>
      </c>
      <c r="H22" s="6">
        <f>P5*D15</f>
        <v>180000</v>
      </c>
      <c r="I22" s="6">
        <f t="shared" si="7"/>
        <v>150000</v>
      </c>
      <c r="J22" s="2" t="s">
        <v>6</v>
      </c>
      <c r="K22" s="20">
        <f t="shared" si="8"/>
        <v>362450</v>
      </c>
      <c r="L22" s="21">
        <f t="shared" si="9"/>
        <v>72.489999999999995</v>
      </c>
      <c r="M22" s="2" t="s">
        <v>6</v>
      </c>
      <c r="N22" s="2" t="s">
        <v>6</v>
      </c>
      <c r="O22" s="2" t="s">
        <v>6</v>
      </c>
    </row>
    <row r="23" spans="1:15">
      <c r="A23" s="5" t="s">
        <v>0</v>
      </c>
      <c r="B23" s="7">
        <f t="shared" ref="B23:K23" si="10">SUM(B20:B22)</f>
        <v>36470</v>
      </c>
      <c r="C23" s="7">
        <f t="shared" si="10"/>
        <v>144000</v>
      </c>
      <c r="D23" s="7">
        <f t="shared" si="10"/>
        <v>1180392.1568627451</v>
      </c>
      <c r="E23" s="7">
        <f t="shared" si="10"/>
        <v>29509.803921568629</v>
      </c>
      <c r="F23" s="7">
        <f t="shared" si="10"/>
        <v>13800</v>
      </c>
      <c r="G23" s="7">
        <f t="shared" si="10"/>
        <v>10000</v>
      </c>
      <c r="H23" s="7">
        <f t="shared" si="10"/>
        <v>330000</v>
      </c>
      <c r="I23" s="7">
        <f t="shared" si="10"/>
        <v>375000</v>
      </c>
      <c r="J23" s="2" t="s">
        <v>6</v>
      </c>
      <c r="K23" s="20">
        <f t="shared" si="10"/>
        <v>938779.80392156856</v>
      </c>
      <c r="L23" s="20" t="s">
        <v>6</v>
      </c>
      <c r="M23" s="2" t="s">
        <v>6</v>
      </c>
      <c r="N23" s="2" t="s">
        <v>6</v>
      </c>
      <c r="O23" s="2" t="s">
        <v>6</v>
      </c>
    </row>
    <row r="25" spans="1:15">
      <c r="A25" s="22" t="s">
        <v>8</v>
      </c>
      <c r="B25" s="23"/>
      <c r="C25" s="24"/>
    </row>
    <row r="26" spans="1:15">
      <c r="A26" s="5" t="s">
        <v>50</v>
      </c>
      <c r="E26" s="4"/>
      <c r="F26" s="4"/>
      <c r="G26" s="4"/>
      <c r="H26" s="4"/>
    </row>
    <row r="27" spans="1:15">
      <c r="B27" s="1" t="s">
        <v>61</v>
      </c>
      <c r="E27" s="8"/>
      <c r="F27" s="8"/>
      <c r="G27" s="8"/>
      <c r="H27" s="8"/>
    </row>
    <row r="28" spans="1:15">
      <c r="B28" s="1" t="s">
        <v>51</v>
      </c>
      <c r="E28" s="8"/>
      <c r="F28" s="8"/>
      <c r="G28" s="8"/>
      <c r="H28" s="8"/>
    </row>
    <row r="29" spans="1:15">
      <c r="A29" s="5" t="s">
        <v>53</v>
      </c>
      <c r="E29" s="8"/>
      <c r="F29" s="8"/>
      <c r="G29" s="8"/>
      <c r="H29" s="8"/>
    </row>
    <row r="30" spans="1:15">
      <c r="A30" s="3"/>
      <c r="B30" s="17" t="s">
        <v>62</v>
      </c>
      <c r="C30" s="17"/>
      <c r="D30" s="17"/>
      <c r="E30" s="17"/>
      <c r="F30" s="6"/>
      <c r="G30" s="6"/>
      <c r="H30" s="6"/>
    </row>
    <row r="31" spans="1:15">
      <c r="A31" s="3"/>
      <c r="B31" s="1" t="s">
        <v>72</v>
      </c>
      <c r="E31" s="8"/>
      <c r="F31" s="8"/>
      <c r="G31" s="6"/>
    </row>
    <row r="32" spans="1:15">
      <c r="A32" s="12" t="s">
        <v>67</v>
      </c>
      <c r="B32" s="6" t="s">
        <v>6</v>
      </c>
      <c r="C32" s="9"/>
      <c r="D32" s="6" t="s">
        <v>6</v>
      </c>
      <c r="E32" s="6"/>
      <c r="F32" s="6"/>
      <c r="G32" s="6"/>
    </row>
    <row r="33" spans="2:3">
      <c r="B33" s="1" t="s">
        <v>70</v>
      </c>
    </row>
    <row r="34" spans="2:3">
      <c r="B34" s="1" t="s">
        <v>68</v>
      </c>
    </row>
    <row r="35" spans="2:3">
      <c r="C35" s="1" t="s">
        <v>71</v>
      </c>
    </row>
    <row r="36" spans="2:3">
      <c r="C36" s="1" t="s">
        <v>69</v>
      </c>
    </row>
  </sheetData>
  <mergeCells count="5">
    <mergeCell ref="A1:C1"/>
    <mergeCell ref="A3:C3"/>
    <mergeCell ref="A11:C11"/>
    <mergeCell ref="A18:C18"/>
    <mergeCell ref="A25:C25"/>
  </mergeCells>
  <phoneticPr fontId="0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actual</vt:lpstr>
      <vt:lpstr>nueva</vt:lpstr>
      <vt:lpstr>actual!Títulos_a_imprimir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CONSULGESA</dc:creator>
  <cp:lastModifiedBy>Usuario</cp:lastModifiedBy>
  <cp:lastPrinted>2001-03-26T17:08:29Z</cp:lastPrinted>
  <dcterms:created xsi:type="dcterms:W3CDTF">1999-05-18T07:03:04Z</dcterms:created>
  <dcterms:modified xsi:type="dcterms:W3CDTF">2020-12-08T12:56:06Z</dcterms:modified>
</cp:coreProperties>
</file>